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0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ctorvandenberghe/Documents/Leazly/repos/leazly/website/www/public/pdf/"/>
    </mc:Choice>
  </mc:AlternateContent>
  <xr:revisionPtr revIDLastSave="0" documentId="8_{923FA9B8-8656-934E-91FE-AA9AA158C7D5}" xr6:coauthVersionLast="47" xr6:coauthVersionMax="47" xr10:uidLastSave="{00000000-0000-0000-0000-000000000000}"/>
  <bookViews>
    <workbookView xWindow="0" yWindow="660" windowWidth="28800" windowHeight="16200" xr2:uid="{00000000-000D-0000-FFFF-FFFF00000000}"/>
  </bookViews>
  <sheets>
    <sheet name="README" sheetId="1" r:id="rId1"/>
    <sheet name="Hypotheses" sheetId="2" r:id="rId2"/>
    <sheet name="Modele" sheetId="3" r:id="rId3"/>
    <sheet name="Fiscalite" sheetId="4" r:id="rId4"/>
    <sheet name="Synthese" sheetId="5" r:id="rId5"/>
  </sheets>
  <calcPr calcId="191029" forceFullCalc="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5" l="1"/>
  <c r="K21" i="5"/>
  <c r="K20" i="5"/>
  <c r="F16" i="3"/>
  <c r="E16" i="3"/>
  <c r="C16" i="3"/>
  <c r="B16" i="3"/>
  <c r="T15" i="3"/>
  <c r="R15" i="3"/>
  <c r="Q15" i="3"/>
  <c r="I15" i="3"/>
  <c r="H15" i="3"/>
  <c r="G15" i="3"/>
  <c r="D15" i="3"/>
  <c r="T14" i="3"/>
  <c r="R14" i="3"/>
  <c r="Q14" i="3"/>
  <c r="H14" i="3"/>
  <c r="G14" i="3"/>
  <c r="I14" i="3" s="1"/>
  <c r="P14" i="3" s="1"/>
  <c r="D14" i="3"/>
  <c r="T13" i="3"/>
  <c r="R13" i="3"/>
  <c r="Q13" i="3"/>
  <c r="H13" i="3"/>
  <c r="G13" i="3"/>
  <c r="I13" i="3" s="1"/>
  <c r="D13" i="3"/>
  <c r="T12" i="3"/>
  <c r="R12" i="3"/>
  <c r="Q12" i="3"/>
  <c r="I12" i="3"/>
  <c r="P12" i="3" s="1"/>
  <c r="H12" i="3"/>
  <c r="G12" i="3"/>
  <c r="D12" i="3"/>
  <c r="T11" i="3"/>
  <c r="R11" i="3"/>
  <c r="Q11" i="3"/>
  <c r="H11" i="3"/>
  <c r="G11" i="3"/>
  <c r="D11" i="3"/>
  <c r="I11" i="3" s="1"/>
  <c r="T10" i="3"/>
  <c r="R10" i="3"/>
  <c r="Q10" i="3"/>
  <c r="H10" i="3"/>
  <c r="G10" i="3"/>
  <c r="D10" i="3"/>
  <c r="T9" i="3"/>
  <c r="R9" i="3"/>
  <c r="Q9" i="3"/>
  <c r="H9" i="3"/>
  <c r="G9" i="3"/>
  <c r="D9" i="3"/>
  <c r="I9" i="3" s="1"/>
  <c r="T8" i="3"/>
  <c r="R8" i="3"/>
  <c r="Q8" i="3"/>
  <c r="H8" i="3"/>
  <c r="G8" i="3"/>
  <c r="D8" i="3"/>
  <c r="I8" i="3" s="1"/>
  <c r="P8" i="3" s="1"/>
  <c r="T7" i="3"/>
  <c r="R7" i="3"/>
  <c r="Q7" i="3"/>
  <c r="H7" i="3"/>
  <c r="G7" i="3"/>
  <c r="D7" i="3"/>
  <c r="I7" i="3" s="1"/>
  <c r="T6" i="3"/>
  <c r="R6" i="3"/>
  <c r="Q6" i="3"/>
  <c r="H6" i="3"/>
  <c r="G6" i="3"/>
  <c r="D6" i="3"/>
  <c r="I6" i="3" s="1"/>
  <c r="P6" i="3" s="1"/>
  <c r="T5" i="3"/>
  <c r="R5" i="3"/>
  <c r="Q5" i="3"/>
  <c r="H5" i="3"/>
  <c r="G5" i="3"/>
  <c r="D5" i="3"/>
  <c r="I5" i="3" s="1"/>
  <c r="K5" i="3" s="1"/>
  <c r="T4" i="3"/>
  <c r="R4" i="3"/>
  <c r="Q4" i="3"/>
  <c r="H4" i="3"/>
  <c r="G4" i="3"/>
  <c r="D4" i="3"/>
  <c r="I4" i="3" s="1"/>
  <c r="P4" i="3" s="1"/>
  <c r="B25" i="2"/>
  <c r="B23" i="2"/>
  <c r="B24" i="2" s="1"/>
  <c r="B12" i="5" s="1"/>
  <c r="I10" i="3" l="1"/>
  <c r="P10" i="3" s="1"/>
  <c r="R16" i="3"/>
  <c r="Q16" i="3"/>
  <c r="K7" i="3"/>
  <c r="P7" i="3"/>
  <c r="J7" i="3"/>
  <c r="K9" i="3"/>
  <c r="V9" i="3" s="1"/>
  <c r="P9" i="3"/>
  <c r="J9" i="3"/>
  <c r="K13" i="3"/>
  <c r="V13" i="3" s="1"/>
  <c r="P13" i="3"/>
  <c r="J13" i="3"/>
  <c r="K11" i="3"/>
  <c r="V11" i="3" s="1"/>
  <c r="J11" i="3"/>
  <c r="P11" i="3"/>
  <c r="T16" i="3"/>
  <c r="D16" i="3"/>
  <c r="L22" i="5" s="1"/>
  <c r="K15" i="3"/>
  <c r="V15" i="3" s="1"/>
  <c r="J5" i="3"/>
  <c r="J15" i="3"/>
  <c r="P5" i="3"/>
  <c r="P16" i="3" s="1"/>
  <c r="P15" i="3"/>
  <c r="V5" i="3"/>
  <c r="V7" i="3"/>
  <c r="J4" i="3"/>
  <c r="J6" i="3"/>
  <c r="J8" i="3"/>
  <c r="J10" i="3"/>
  <c r="J12" i="3"/>
  <c r="J14" i="3"/>
  <c r="K4" i="3"/>
  <c r="K6" i="3"/>
  <c r="K8" i="3"/>
  <c r="K10" i="3"/>
  <c r="K12" i="3"/>
  <c r="K14" i="3"/>
  <c r="I16" i="3"/>
  <c r="L21" i="5"/>
  <c r="G22" i="5"/>
  <c r="H22" i="5" s="1"/>
  <c r="I22" i="5" s="1"/>
  <c r="J22" i="5" s="1"/>
  <c r="G20" i="5" l="1"/>
  <c r="H20" i="5" s="1"/>
  <c r="I20" i="5" s="1"/>
  <c r="J20" i="5" s="1"/>
  <c r="G21" i="5"/>
  <c r="H21" i="5" s="1"/>
  <c r="I21" i="5" s="1"/>
  <c r="J21" i="5" s="1"/>
  <c r="L20" i="5"/>
  <c r="L11" i="3"/>
  <c r="M11" i="3" s="1"/>
  <c r="N11" i="3" s="1"/>
  <c r="O11" i="3"/>
  <c r="L13" i="3"/>
  <c r="M13" i="3" s="1"/>
  <c r="O13" i="3"/>
  <c r="L15" i="3"/>
  <c r="M15" i="3" s="1"/>
  <c r="N15" i="3" s="1"/>
  <c r="O15" i="3"/>
  <c r="L7" i="3"/>
  <c r="M7" i="3" s="1"/>
  <c r="N7" i="3" s="1"/>
  <c r="S7" i="3" s="1"/>
  <c r="O7" i="3"/>
  <c r="L9" i="3"/>
  <c r="M9" i="3" s="1"/>
  <c r="N9" i="3" s="1"/>
  <c r="S9" i="3" s="1"/>
  <c r="O9" i="3"/>
  <c r="L5" i="3"/>
  <c r="M5" i="3" s="1"/>
  <c r="N5" i="3" s="1"/>
  <c r="S5" i="3" s="1"/>
  <c r="O5" i="3"/>
  <c r="G16" i="3"/>
  <c r="B8" i="5" s="1"/>
  <c r="V6" i="3"/>
  <c r="K16" i="3"/>
  <c r="V16" i="3" s="1"/>
  <c r="B10" i="5" s="1"/>
  <c r="V4" i="3"/>
  <c r="O12" i="3"/>
  <c r="L12" i="3"/>
  <c r="M12" i="3" s="1"/>
  <c r="O10" i="3"/>
  <c r="L10" i="3"/>
  <c r="M10" i="3" s="1"/>
  <c r="O8" i="3"/>
  <c r="L8" i="3"/>
  <c r="M8" i="3" s="1"/>
  <c r="O6" i="3"/>
  <c r="L6" i="3"/>
  <c r="M6" i="3" s="1"/>
  <c r="O4" i="3"/>
  <c r="J16" i="3"/>
  <c r="L4" i="3"/>
  <c r="H16" i="3"/>
  <c r="B9" i="5" s="1"/>
  <c r="O14" i="3"/>
  <c r="L14" i="3"/>
  <c r="M14" i="3" s="1"/>
  <c r="N13" i="3"/>
  <c r="S13" i="3" s="1"/>
  <c r="V14" i="3"/>
  <c r="V12" i="3"/>
  <c r="V10" i="3"/>
  <c r="V8" i="3"/>
  <c r="S15" i="3" l="1"/>
  <c r="S11" i="3"/>
  <c r="N6" i="3"/>
  <c r="S6" i="3" s="1"/>
  <c r="N10" i="3"/>
  <c r="S10" i="3" s="1"/>
  <c r="N12" i="3"/>
  <c r="S12" i="3" s="1"/>
  <c r="W9" i="3"/>
  <c r="U9" i="3"/>
  <c r="W11" i="3"/>
  <c r="U11" i="3"/>
  <c r="N14" i="3"/>
  <c r="S14" i="3" s="1"/>
  <c r="W7" i="3"/>
  <c r="U7" i="3"/>
  <c r="W5" i="3"/>
  <c r="U5" i="3"/>
  <c r="W15" i="3"/>
  <c r="U15" i="3"/>
  <c r="W13" i="3"/>
  <c r="U13" i="3"/>
  <c r="L16" i="3"/>
  <c r="O16" i="3"/>
  <c r="M4" i="3"/>
  <c r="N8" i="3"/>
  <c r="S8" i="3" s="1"/>
  <c r="W14" i="3" l="1"/>
  <c r="U14" i="3"/>
  <c r="W12" i="3"/>
  <c r="U12" i="3"/>
  <c r="W10" i="3"/>
  <c r="U10" i="3"/>
  <c r="W6" i="3"/>
  <c r="U6" i="3"/>
  <c r="M16" i="3"/>
  <c r="N4" i="3"/>
  <c r="N16" i="3" s="1"/>
  <c r="W8" i="3"/>
  <c r="U8" i="3"/>
  <c r="B4" i="4" l="1"/>
  <c r="B13" i="4" s="1"/>
  <c r="B14" i="4" s="1"/>
  <c r="B4" i="5"/>
  <c r="S4" i="3"/>
  <c r="S16" i="3" l="1"/>
  <c r="W4" i="3"/>
  <c r="U4" i="3"/>
  <c r="U16" i="3" s="1"/>
  <c r="B6" i="4" l="1"/>
  <c r="B6" i="5"/>
  <c r="B5" i="4"/>
  <c r="B17" i="4" s="1"/>
  <c r="B18" i="4" s="1"/>
  <c r="B5" i="5"/>
  <c r="B13" i="5" s="1"/>
  <c r="W16" i="3"/>
  <c r="B11" i="5" s="1"/>
  <c r="B7" i="5" l="1"/>
  <c r="B14" i="5"/>
  <c r="B19" i="4"/>
  <c r="B16" i="5" s="1"/>
  <c r="B15" i="4"/>
  <c r="B15" i="5" s="1"/>
</calcChain>
</file>

<file path=xl/sharedStrings.xml><?xml version="1.0" encoding="utf-8"?>
<sst xmlns="http://schemas.openxmlformats.org/spreadsheetml/2006/main" count="137" uniqueCount="125">
  <si>
    <t>Modele de calcul de rentabilite Airbnb - Leazly</t>
  </si>
  <si>
    <t>Compatibilite</t>
  </si>
  <si>
    <t>Excel + Google Sheets</t>
  </si>
  <si>
    <t>Format du fichier</t>
  </si>
  <si>
    <t>Classeur .xlsx ouvrable dans Microsoft Excel et importable tel quel dans Google Sheets.</t>
  </si>
  <si>
    <t>Cellules a modifier</t>
  </si>
  <si>
    <t>Les cellules jaunes sont a renseigner. Les cellules grises et bleues se calculent automatiquement.</t>
  </si>
  <si>
    <t>Workflow conseille</t>
  </si>
  <si>
    <t>4 etapes rapides</t>
  </si>
  <si>
    <t>1. Hypotheses</t>
  </si>
  <si>
    <t>Saisissez votre ADR, votre occupation cible, vos charges, vos couts de menage et votre financement.</t>
  </si>
  <si>
    <t>2. Modele</t>
  </si>
  <si>
    <t>Ajustez les nuits bloquees et les coefficients mensuels pour coller a votre saisonnalite.</t>
  </si>
  <si>
    <t>3. Synthese</t>
  </si>
  <si>
    <t>Lisez le CA brut, le net operationnel, le cashflow, le RevPAR, le RevPAN et le seuil d occupation.</t>
  </si>
  <si>
    <t>4. Fiscalite</t>
  </si>
  <si>
    <t>Comparez un ordre de grandeur micro-BIC vs reel en personnalisant les taux et deductions.</t>
  </si>
  <si>
    <t>Conseil</t>
  </si>
  <si>
    <t>Dupliquez ce fichier avant chaque nouvelle version de votre scenario.</t>
  </si>
  <si>
    <t>Hypotheses de base</t>
  </si>
  <si>
    <t>Modifiez uniquement les cellules jaunes. Le reste se met a jour dans tout le classeur.</t>
  </si>
  <si>
    <t>Base de calcul</t>
  </si>
  <si>
    <t>Valeur a ajuster</t>
  </si>
  <si>
    <t>ADR moyen (€ / nuit)</t>
  </si>
  <si>
    <t>Taux d occupation cible</t>
  </si>
  <si>
    <t>Duree moyenne de sejour (nuits)</t>
  </si>
  <si>
    <t>Frais de menage factures (€ / sejour)</t>
  </si>
  <si>
    <t>Frais plateforme</t>
  </si>
  <si>
    <t>Cout menage + linge (€ / sejour)</t>
  </si>
  <si>
    <t>Cout variable energie + consommables (€ / nuit vendue)</t>
  </si>
  <si>
    <t>Maintenance mensuelle (€)</t>
  </si>
  <si>
    <t>Charges fixes mensuelles (€)</t>
  </si>
  <si>
    <t>Mensualite credit (€)</t>
  </si>
  <si>
    <t>Autres charges mensuelles (€)</t>
  </si>
  <si>
    <t>Investissement</t>
  </si>
  <si>
    <t>Prix d acquisition (€)</t>
  </si>
  <si>
    <t>Frais de notaire (€)</t>
  </si>
  <si>
    <t>Travaux + mobilier (€)</t>
  </si>
  <si>
    <t>Apport (€)</t>
  </si>
  <si>
    <t>Indicateurs derives</t>
  </si>
  <si>
    <t>Calcul automatique</t>
  </si>
  <si>
    <t>Contribution nette par nuit vendue (€)</t>
  </si>
  <si>
    <t>Seuil d occupation annuel</t>
  </si>
  <si>
    <t>Cout total d acquisition (€)</t>
  </si>
  <si>
    <t>Modele mensuel</t>
  </si>
  <si>
    <t>Colonnes jaunes = a modifier. Toutes les autres colonnes se recalculent automatiquement.</t>
  </si>
  <si>
    <t>Mois</t>
  </si>
  <si>
    <t>Nuits du mois</t>
  </si>
  <si>
    <t>Nuits bloquees</t>
  </si>
  <si>
    <t>Nuits disponibles</t>
  </si>
  <si>
    <t>Coeff occupation</t>
  </si>
  <si>
    <t>Coeff ADR</t>
  </si>
  <si>
    <t>Occupation appliquee</t>
  </si>
  <si>
    <t>ADR applique</t>
  </si>
  <si>
    <t>Nuits vendues</t>
  </si>
  <si>
    <t>Nb sejours</t>
  </si>
  <si>
    <t>CA hebergement</t>
  </si>
  <si>
    <t>Menage facture</t>
  </si>
  <si>
    <t>CA brut</t>
  </si>
  <si>
    <t>Cout menage + linge</t>
  </si>
  <si>
    <t>Couts variables</t>
  </si>
  <si>
    <t>Maintenance</t>
  </si>
  <si>
    <t>Charges fixes</t>
  </si>
  <si>
    <t>Net operationnel</t>
  </si>
  <si>
    <t>Mensualite credit</t>
  </si>
  <si>
    <t>Cashflow</t>
  </si>
  <si>
    <t>RevPAR</t>
  </si>
  <si>
    <t>RevPAN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</si>
  <si>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</si>
  <si>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</si>
  <si>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</si>
  <si>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</si>
  <si>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</si>
  <si>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</si>
  <si>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</si>
  <si>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</si>
  <si>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</si>
  <si>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</si>
  <si>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</si>
  <si>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</si>
  <si>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Total annuel</t>
  </si>
  <si>
    <t>Fiscalite simplifiee</t>
  </si>
  <si>
    <t>Approximation a valider avec un expert-comptable. Les seuils et regimes evoluent dans le temps.</t>
  </si>
  <si>
    <t>Parametres</t>
  </si>
  <si>
    <t>Valeur</t>
  </si>
  <si>
    <t>CA brut annuel (depuis Modele)</t>
  </si>
  <si>
    <t>Net operationnel annuel (depuis Modele)</t>
  </si>
  <si>
    <t>Cashflow avant impot (depuis Modele)</t>
  </si>
  <si>
    <t>Abattement micro-BIC</t>
  </si>
  <si>
    <t>Taux effectif impot + prelevements sociaux</t>
  </si>
  <si>
    <t>Deductions supplementaires au reel (€ / an)</t>
  </si>
  <si>
    <t>Comparaison simplifiee</t>
  </si>
  <si>
    <t>Ordre de grandeur uniquement</t>
  </si>
  <si>
    <t>Base imposable micro-BIC</t>
  </si>
  <si>
    <t>Impot estime micro-BIC</t>
  </si>
  <si>
    <t>Cashflow apres impot micro-BIC</t>
  </si>
  <si>
    <t>Base imposable regime reel (approx.)</t>
  </si>
  <si>
    <t>Impot estime regime reel</t>
  </si>
  <si>
    <t>Cashflow apres impot regime reel</t>
  </si>
  <si>
    <t>Rappel</t>
  </si>
  <si>
    <t>Si vous avez beaucoup d interets, de charges ou d amortissements, le reel peut devenir plus favorable.</t>
  </si>
  <si>
    <t>Synthese &amp; scenarios</t>
  </si>
  <si>
    <t>Lecture rapide du projet et test worst / base / best sans dupliquer le classeur.</t>
  </si>
  <si>
    <t>Indicateur</t>
  </si>
  <si>
    <t>CA brut annuel</t>
  </si>
  <si>
    <t>Net operationnel annuel</t>
  </si>
  <si>
    <t>Cashflow annuel</t>
  </si>
  <si>
    <t>Cashflow mensuel moyen</t>
  </si>
  <si>
    <t>Occupation annuelle</t>
  </si>
  <si>
    <t>ADR moyen annuel</t>
  </si>
  <si>
    <t>RevPAR annuel</t>
  </si>
  <si>
    <t>RevPAN annuel</t>
  </si>
  <si>
    <t>Seuil d occupation</t>
  </si>
  <si>
    <t>Rendement net operationnel / cout total</t>
  </si>
  <si>
    <t>ROI cashflow / apport</t>
  </si>
  <si>
    <t>Scenarios rapides</t>
  </si>
  <si>
    <t>Testez les variations de demande, de prix et de couts</t>
  </si>
  <si>
    <t>Scenario</t>
  </si>
  <si>
    <t>Coeff duree sejour</t>
  </si>
  <si>
    <t>Coeff cout menage</t>
  </si>
  <si>
    <t>Coeff cout variable</t>
  </si>
  <si>
    <t>Contribution nette / nuit</t>
  </si>
  <si>
    <t>Worst</t>
  </si>
  <si>
    <t>Base</t>
  </si>
  <si>
    <t>Best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</si>
</sst>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111827"/>
      <name val="Aptos"/>
      <family val="2"/>
    </font>
    <font>
      <b/>
      <sz val="14"/>
      <color rgb="FF0F172A"/>
      <name val="Aptos"/>
      <family val="2"/>
    </font>
    <font>
      <b/>
      <sz val="11"/>
      <color rgb="FFFFFFFF"/>
      <name val="Aptos"/>
      <family val="2"/>
    </font>
    <font>
      <b/>
      <sz val="11"/>
      <color rgb="FF0F172A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DE68A"/>
        <bgColor indexed="64"/>
      </patternFill>
    </fill>
    <fill>
      <patternFill patternType="solid">
        <fgColor rgb="FF0F172A"/>
        <bgColor indexed="64"/>
      </patternFill>
    </fill>
    <fill>
      <patternFill patternType="solid">
        <fgColor rgb="FFE5E7EB"/>
        <bgColor indexed="64"/>
      </patternFill>
    </fill>
    <fill>
      <patternFill patternType="solid">
        <fgColor rgb="FF1D4ED8"/>
        <bgColor indexed="64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0" fillId="2" borderId="1" xfId="0" applyNumberFormat="1" applyFill="1" applyBorder="1"/>
    <xf numFmtId="10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4" fontId="0" fillId="4" borderId="1" xfId="0" applyNumberFormat="1" applyFill="1" applyBorder="1"/>
    <xf numFmtId="10" fontId="0" fillId="4" borderId="1" xfId="0" applyNumberFormat="1" applyFill="1" applyBorder="1"/>
    <xf numFmtId="0" fontId="0" fillId="4" borderId="1" xfId="0" applyFill="1" applyBorder="1" applyAlignment="1">
      <alignment horizontal="center"/>
    </xf>
    <xf numFmtId="0" fontId="2" fillId="5" borderId="1" xfId="0" applyFont="1" applyFill="1" applyBorder="1" applyAlignment="1">
      <alignment vertical="center" wrapText="1"/>
    </xf>
    <xf numFmtId="4" fontId="2" fillId="5" borderId="1" xfId="0" applyNumberFormat="1" applyFont="1" applyFill="1" applyBorder="1"/>
    <xf numFmtId="10" fontId="2" fillId="5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workbookViewId="0"/>
  </sheetViews>
  <sheetFormatPr baseColWidth="10" defaultColWidth="8.83203125" defaultRowHeight="15" x14ac:dyDescent="0.2"/>
  <cols>
    <col min="1" max="1" width="26" customWidth="1"/>
    <col min="2" max="2" width="82" customWidth="1"/>
  </cols>
  <sheetData>
    <row r="1" spans="1:2" ht="19" x14ac:dyDescent="0.2">
      <c r="A1" s="1" t="s">
        <v>0</v>
      </c>
    </row>
    <row r="3" spans="1:2" ht="16" x14ac:dyDescent="0.2">
      <c r="A3" s="2" t="s">
        <v>1</v>
      </c>
      <c r="B3" s="2" t="s">
        <v>2</v>
      </c>
    </row>
    <row r="4" spans="1:2" ht="16" x14ac:dyDescent="0.2">
      <c r="A4" s="3" t="s">
        <v>3</v>
      </c>
      <c r="B4" t="s">
        <v>4</v>
      </c>
    </row>
    <row r="5" spans="1:2" ht="16" x14ac:dyDescent="0.2">
      <c r="A5" s="3" t="s">
        <v>5</v>
      </c>
      <c r="B5" t="s">
        <v>6</v>
      </c>
    </row>
    <row r="7" spans="1:2" ht="16" x14ac:dyDescent="0.2">
      <c r="A7" s="2" t="s">
        <v>7</v>
      </c>
      <c r="B7" s="2" t="s">
        <v>8</v>
      </c>
    </row>
    <row r="8" spans="1:2" ht="16" x14ac:dyDescent="0.2">
      <c r="A8" s="3" t="s">
        <v>9</v>
      </c>
      <c r="B8" t="s">
        <v>10</v>
      </c>
    </row>
    <row r="9" spans="1:2" ht="16" x14ac:dyDescent="0.2">
      <c r="A9" s="3" t="s">
        <v>11</v>
      </c>
      <c r="B9" t="s">
        <v>12</v>
      </c>
    </row>
    <row r="10" spans="1:2" ht="16" x14ac:dyDescent="0.2">
      <c r="A10" s="3" t="s">
        <v>13</v>
      </c>
      <c r="B10" t="s">
        <v>14</v>
      </c>
    </row>
    <row r="11" spans="1:2" ht="16" x14ac:dyDescent="0.2">
      <c r="A11" s="3" t="s">
        <v>15</v>
      </c>
      <c r="B11" t="s">
        <v>16</v>
      </c>
    </row>
    <row r="13" spans="1:2" ht="16" x14ac:dyDescent="0.2">
      <c r="A13" s="2" t="s">
        <v>17</v>
      </c>
      <c r="B13" s="2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workbookViewId="0">
      <pane ySplit="3" topLeftCell="A4" activePane="bottomLeft" state="frozen"/>
      <selection pane="bottomLeft"/>
    </sheetView>
  </sheetViews>
  <sheetFormatPr baseColWidth="10" defaultColWidth="8.83203125" defaultRowHeight="15" x14ac:dyDescent="0.2"/>
  <cols>
    <col min="1" max="1" width="58" customWidth="1"/>
    <col min="2" max="2" width="20" customWidth="1"/>
  </cols>
  <sheetData>
    <row r="1" spans="1:2" ht="19" x14ac:dyDescent="0.2">
      <c r="A1" s="1" t="s">
        <v>19</v>
      </c>
    </row>
    <row r="2" spans="1:2" x14ac:dyDescent="0.2">
      <c r="A2" t="s">
        <v>20</v>
      </c>
    </row>
    <row r="3" spans="1:2" ht="16" x14ac:dyDescent="0.2">
      <c r="A3" s="2" t="s">
        <v>21</v>
      </c>
      <c r="B3" s="2" t="s">
        <v>22</v>
      </c>
    </row>
    <row r="4" spans="1:2" ht="16" x14ac:dyDescent="0.2">
      <c r="A4" s="3" t="s">
        <v>23</v>
      </c>
      <c r="B4" s="4">
        <v>145</v>
      </c>
    </row>
    <row r="5" spans="1:2" ht="16" x14ac:dyDescent="0.2">
      <c r="A5" s="3" t="s">
        <v>24</v>
      </c>
      <c r="B5" s="5">
        <v>0.7</v>
      </c>
    </row>
    <row r="6" spans="1:2" ht="16" x14ac:dyDescent="0.2">
      <c r="A6" s="3" t="s">
        <v>25</v>
      </c>
      <c r="B6" s="6">
        <v>3</v>
      </c>
    </row>
    <row r="7" spans="1:2" ht="16" x14ac:dyDescent="0.2">
      <c r="A7" s="3" t="s">
        <v>26</v>
      </c>
      <c r="B7" s="4">
        <v>50</v>
      </c>
    </row>
    <row r="8" spans="1:2" ht="16" x14ac:dyDescent="0.2">
      <c r="A8" s="3" t="s">
        <v>27</v>
      </c>
      <c r="B8" s="5">
        <v>0.03</v>
      </c>
    </row>
    <row r="9" spans="1:2" ht="16" x14ac:dyDescent="0.2">
      <c r="A9" s="3" t="s">
        <v>28</v>
      </c>
      <c r="B9" s="4">
        <v>45</v>
      </c>
    </row>
    <row r="10" spans="1:2" ht="16" x14ac:dyDescent="0.2">
      <c r="A10" s="3" t="s">
        <v>29</v>
      </c>
      <c r="B10" s="4">
        <v>8</v>
      </c>
    </row>
    <row r="11" spans="1:2" ht="16" x14ac:dyDescent="0.2">
      <c r="A11" s="3" t="s">
        <v>30</v>
      </c>
      <c r="B11" s="4">
        <v>60</v>
      </c>
    </row>
    <row r="12" spans="1:2" ht="16" x14ac:dyDescent="0.2">
      <c r="A12" s="3" t="s">
        <v>31</v>
      </c>
      <c r="B12" s="4">
        <v>420</v>
      </c>
    </row>
    <row r="13" spans="1:2" ht="16" x14ac:dyDescent="0.2">
      <c r="A13" s="3" t="s">
        <v>32</v>
      </c>
      <c r="B13" s="4">
        <v>1730</v>
      </c>
    </row>
    <row r="14" spans="1:2" ht="16" x14ac:dyDescent="0.2">
      <c r="A14" s="3" t="s">
        <v>33</v>
      </c>
      <c r="B14" s="4">
        <v>0</v>
      </c>
    </row>
    <row r="16" spans="1:2" ht="16" x14ac:dyDescent="0.2">
      <c r="A16" s="2" t="s">
        <v>34</v>
      </c>
      <c r="B16" s="2" t="s">
        <v>22</v>
      </c>
    </row>
    <row r="17" spans="1:2" ht="16" x14ac:dyDescent="0.2">
      <c r="A17" s="3" t="s">
        <v>35</v>
      </c>
      <c r="B17" s="4">
        <v>350000</v>
      </c>
    </row>
    <row r="18" spans="1:2" ht="16" x14ac:dyDescent="0.2">
      <c r="A18" s="3" t="s">
        <v>36</v>
      </c>
      <c r="B18" s="4">
        <v>24500</v>
      </c>
    </row>
    <row r="19" spans="1:2" ht="16" x14ac:dyDescent="0.2">
      <c r="A19" s="3" t="s">
        <v>37</v>
      </c>
      <c r="B19" s="4">
        <v>18000</v>
      </c>
    </row>
    <row r="20" spans="1:2" ht="16" x14ac:dyDescent="0.2">
      <c r="A20" s="3" t="s">
        <v>38</v>
      </c>
      <c r="B20" s="4">
        <v>80000</v>
      </c>
    </row>
    <row r="22" spans="1:2" ht="16" x14ac:dyDescent="0.2">
      <c r="A22" s="2" t="s">
        <v>39</v>
      </c>
      <c r="B22" s="2" t="s">
        <v>40</v>
      </c>
    </row>
    <row r="23" spans="1:2" ht="16" x14ac:dyDescent="0.2">
      <c r="A23" s="3" t="s">
        <v>41</v>
      </c>
      <c r="B23" s="7">
        <f>IF(B6=0,"",((B4+(B7/B6))*(1-B8))-((B9/B6)+B10))</f>
        <v>133.81666666666666</v>
      </c>
    </row>
    <row r="24" spans="1:2" ht="16" x14ac:dyDescent="0.2">
      <c r="A24" s="3" t="s">
        <v>42</v>
      </c>
      <c r="B24" s="8">
        <f>IF(OR(B23="",SUM(Modele!D4:D15)=0,B23&lt;=0),"",MIN(0.99,((B11+B12+B13+B14)*12)/(SUM(Modele!D4:D15)*B23)))</f>
        <v>0.54296326501364067</v>
      </c>
    </row>
    <row r="25" spans="1:2" ht="16" x14ac:dyDescent="0.2">
      <c r="A25" s="3" t="s">
        <v>43</v>
      </c>
      <c r="B25" s="7">
        <f>SUM(B17:B19)</f>
        <v>392500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6"/>
  <sheetViews>
    <sheetView workbookViewId="0">
      <pane ySplit="3" topLeftCell="A4" activePane="bottomLeft" state="frozen"/>
      <selection pane="bottomLeft"/>
    </sheetView>
  </sheetViews>
  <sheetFormatPr baseColWidth="10" defaultColWidth="8.83203125" defaultRowHeight="15" x14ac:dyDescent="0.2"/>
  <cols>
    <col min="1" max="1" width="14" customWidth="1"/>
    <col min="2" max="2" width="13" customWidth="1"/>
    <col min="3" max="5" width="14" customWidth="1"/>
    <col min="6" max="6" width="12" customWidth="1"/>
    <col min="7" max="7" width="16" customWidth="1"/>
    <col min="8" max="9" width="13" customWidth="1"/>
    <col min="10" max="10" width="11" customWidth="1"/>
    <col min="11" max="11" width="15" customWidth="1"/>
    <col min="12" max="12" width="14" customWidth="1"/>
    <col min="13" max="13" width="13" customWidth="1"/>
    <col min="14" max="14" width="14" customWidth="1"/>
    <col min="15" max="15" width="16" customWidth="1"/>
    <col min="16" max="16" width="14" customWidth="1"/>
    <col min="17" max="17" width="12" customWidth="1"/>
    <col min="18" max="18" width="13" customWidth="1"/>
    <col min="19" max="20" width="15" customWidth="1"/>
    <col min="21" max="21" width="13" customWidth="1"/>
    <col min="22" max="23" width="12" customWidth="1"/>
  </cols>
  <sheetData>
    <row r="1" spans="1:23" ht="19" x14ac:dyDescent="0.2">
      <c r="A1" s="1" t="s">
        <v>44</v>
      </c>
    </row>
    <row r="2" spans="1:23" x14ac:dyDescent="0.2">
      <c r="A2" t="s">
        <v>45</v>
      </c>
    </row>
    <row r="3" spans="1:23" ht="32" x14ac:dyDescent="0.2">
      <c r="A3" s="2" t="s">
        <v>46</v>
      </c>
      <c r="B3" s="2" t="s">
        <v>47</v>
      </c>
      <c r="C3" s="2" t="s">
        <v>48</v>
      </c>
      <c r="D3" s="2" t="s">
        <v>49</v>
      </c>
      <c r="E3" s="2" t="s">
        <v>50</v>
      </c>
      <c r="F3" s="2" t="s">
        <v>51</v>
      </c>
      <c r="G3" s="2" t="s">
        <v>52</v>
      </c>
      <c r="H3" s="2" t="s">
        <v>53</v>
      </c>
      <c r="I3" s="2" t="s">
        <v>54</v>
      </c>
      <c r="J3" s="2" t="s">
        <v>55</v>
      </c>
      <c r="K3" s="2" t="s">
        <v>56</v>
      </c>
      <c r="L3" s="2" t="s">
        <v>57</v>
      </c>
      <c r="M3" s="2" t="s">
        <v>58</v>
      </c>
      <c r="N3" s="2" t="s">
        <v>27</v>
      </c>
      <c r="O3" s="2" t="s">
        <v>59</v>
      </c>
      <c r="P3" s="2" t="s">
        <v>60</v>
      </c>
      <c r="Q3" s="2" t="s">
        <v>61</v>
      </c>
      <c r="R3" s="2" t="s">
        <v>62</v>
      </c>
      <c r="S3" s="2" t="s">
        <v>63</v>
      </c>
      <c r="T3" s="2" t="s">
        <v>64</v>
      </c>
      <c r="U3" s="2" t="s">
        <v>65</v>
      </c>
      <c r="V3" s="2" t="s">
        <v>66</v>
      </c>
      <c r="W3" s="2" t="s">
        <v>67</v>
      </c>
    </row>
    <row r="4" spans="1:23" ht="16" x14ac:dyDescent="0.2">
      <c r="A4" s="3" t="s">
        <v>68</v>
      </c>
      <c r="B4" s="9">
        <v>31</v>
      </c>
      <c r="C4" s="6">
        <v>0</v>
      </c>
      <c r="D4" s="9">
        <f t="shared" ref="D4:D15" si="0">MAX(B4-C4,0)</f>
        <v>31</v>
      </c>
      <c r="E4" s="5">
        <v>0.95</v>
      </c>
      <c r="F4" s="5">
        <v>0.95</v>
      </c>
      <c r="G4" s="8">
        <f>MIN(Hypotheses!$B$5*E4,0.95)</f>
        <v>0.66499999999999992</v>
      </c>
      <c r="H4" s="7">
        <f>Hypotheses!$B$4*F4</f>
        <v>137.75</v>
      </c>
      <c r="I4" s="7">
        <f t="shared" ref="I4:I15" si="1">D4*G4</f>
        <v>20.614999999999998</v>
      </c>
      <c r="J4" s="9">
        <f>IF(Hypotheses!$B$6=0,0,ROUNDUP(I4/Hypotheses!$B$6,0))</f>
        <v>7</v>
      </c>
      <c r="K4" s="7">
        <f t="shared" ref="K4:K15" si="2">I4*H4</f>
        <v>2839.7162499999999</v>
      </c>
      <c r="L4" s="7">
        <f>J4*Hypotheses!$B$7</f>
        <v>350</v>
      </c>
      <c r="M4" s="7">
        <f t="shared" ref="M4:M15" si="3">K4+L4</f>
        <v>3189.7162499999999</v>
      </c>
      <c r="N4" s="7">
        <f>M4*Hypotheses!$B$8</f>
        <v>95.691487499999994</v>
      </c>
      <c r="O4" s="7">
        <f>J4*Hypotheses!$B$9</f>
        <v>315</v>
      </c>
      <c r="P4" s="7">
        <f>I4*Hypotheses!$B$10</f>
        <v>164.92</v>
      </c>
      <c r="Q4" s="7">
        <f>Hypotheses!$B$11</f>
        <v>60</v>
      </c>
      <c r="R4" s="7">
        <f>Hypotheses!$B$12+Hypotheses!$B$14</f>
        <v>420</v>
      </c>
      <c r="S4" s="7">
        <f t="shared" ref="S4:S15" si="4">M4-N4-O4-P4-Q4-R4</f>
        <v>2134.1047625000001</v>
      </c>
      <c r="T4" s="7">
        <f>Hypotheses!$B$13</f>
        <v>1730</v>
      </c>
      <c r="U4" s="7">
        <f t="shared" ref="U4:U15" si="5">S4-T4</f>
        <v>404.10476250000011</v>
      </c>
      <c r="V4" s="7">
        <f t="shared" ref="V4:V16" si="6">IF(D4=0,0,K4/D4)</f>
        <v>91.603750000000005</v>
      </c>
      <c r="W4" s="7">
        <f t="shared" ref="W4:W16" si="7">IF(D4=0,0,S4/D4)</f>
        <v>68.842089112903224</v>
      </c>
    </row>
    <row r="5" spans="1:23" ht="16" x14ac:dyDescent="0.2">
      <c r="A5" s="3" t="s">
        <v>69</v>
      </c>
      <c r="B5" s="9">
        <v>28</v>
      </c>
      <c r="C5" s="6">
        <v>0</v>
      </c>
      <c r="D5" s="9">
        <f t="shared" si="0"/>
        <v>28</v>
      </c>
      <c r="E5" s="5">
        <v>0.9</v>
      </c>
      <c r="F5" s="5">
        <v>0.95</v>
      </c>
      <c r="G5" s="8">
        <f>MIN(Hypotheses!$B$5*E5,0.95)</f>
        <v>0.63</v>
      </c>
      <c r="H5" s="7">
        <f>Hypotheses!$B$4*F5</f>
        <v>137.75</v>
      </c>
      <c r="I5" s="7">
        <f t="shared" si="1"/>
        <v>17.64</v>
      </c>
      <c r="J5" s="9">
        <f>IF(Hypotheses!$B$6=0,0,ROUNDUP(I5/Hypotheses!$B$6,0))</f>
        <v>6</v>
      </c>
      <c r="K5" s="7">
        <f t="shared" si="2"/>
        <v>2429.91</v>
      </c>
      <c r="L5" s="7">
        <f>J5*Hypotheses!$B$7</f>
        <v>300</v>
      </c>
      <c r="M5" s="7">
        <f t="shared" si="3"/>
        <v>2729.91</v>
      </c>
      <c r="N5" s="7">
        <f>M5*Hypotheses!$B$8</f>
        <v>81.897299999999987</v>
      </c>
      <c r="O5" s="7">
        <f>J5*Hypotheses!$B$9</f>
        <v>270</v>
      </c>
      <c r="P5" s="7">
        <f>I5*Hypotheses!$B$10</f>
        <v>141.12</v>
      </c>
      <c r="Q5" s="7">
        <f>Hypotheses!$B$11</f>
        <v>60</v>
      </c>
      <c r="R5" s="7">
        <f>Hypotheses!$B$12+Hypotheses!$B$14</f>
        <v>420</v>
      </c>
      <c r="S5" s="7">
        <f t="shared" si="4"/>
        <v>1756.8926999999999</v>
      </c>
      <c r="T5" s="7">
        <f>Hypotheses!$B$13</f>
        <v>1730</v>
      </c>
      <c r="U5" s="7">
        <f t="shared" si="5"/>
        <v>26.892699999999877</v>
      </c>
      <c r="V5" s="7">
        <f t="shared" si="6"/>
        <v>86.782499999999999</v>
      </c>
      <c r="W5" s="7">
        <f t="shared" si="7"/>
        <v>62.746167857142851</v>
      </c>
    </row>
    <row r="6" spans="1:23" ht="16" x14ac:dyDescent="0.2">
      <c r="A6" s="3" t="s">
        <v>70</v>
      </c>
      <c r="B6" s="9">
        <v>31</v>
      </c>
      <c r="C6" s="6">
        <v>0</v>
      </c>
      <c r="D6" s="9">
        <f t="shared" si="0"/>
        <v>31</v>
      </c>
      <c r="E6" s="5">
        <v>0.95</v>
      </c>
      <c r="F6" s="5">
        <v>1</v>
      </c>
      <c r="G6" s="8">
        <f>MIN(Hypotheses!$B$5*E6,0.95)</f>
        <v>0.66499999999999992</v>
      </c>
      <c r="H6" s="7">
        <f>Hypotheses!$B$4*F6</f>
        <v>145</v>
      </c>
      <c r="I6" s="7">
        <f t="shared" si="1"/>
        <v>20.614999999999998</v>
      </c>
      <c r="J6" s="9">
        <f>IF(Hypotheses!$B$6=0,0,ROUNDUP(I6/Hypotheses!$B$6,0))</f>
        <v>7</v>
      </c>
      <c r="K6" s="7">
        <f t="shared" si="2"/>
        <v>2989.1749999999997</v>
      </c>
      <c r="L6" s="7">
        <f>J6*Hypotheses!$B$7</f>
        <v>350</v>
      </c>
      <c r="M6" s="7">
        <f t="shared" si="3"/>
        <v>3339.1749999999997</v>
      </c>
      <c r="N6" s="7">
        <f>M6*Hypotheses!$B$8</f>
        <v>100.17524999999999</v>
      </c>
      <c r="O6" s="7">
        <f>J6*Hypotheses!$B$9</f>
        <v>315</v>
      </c>
      <c r="P6" s="7">
        <f>I6*Hypotheses!$B$10</f>
        <v>164.92</v>
      </c>
      <c r="Q6" s="7">
        <f>Hypotheses!$B$11</f>
        <v>60</v>
      </c>
      <c r="R6" s="7">
        <f>Hypotheses!$B$12+Hypotheses!$B$14</f>
        <v>420</v>
      </c>
      <c r="S6" s="7">
        <f t="shared" si="4"/>
        <v>2279.0797499999999</v>
      </c>
      <c r="T6" s="7">
        <f>Hypotheses!$B$13</f>
        <v>1730</v>
      </c>
      <c r="U6" s="7">
        <f t="shared" si="5"/>
        <v>549.07974999999988</v>
      </c>
      <c r="V6" s="7">
        <f t="shared" si="6"/>
        <v>96.424999999999997</v>
      </c>
      <c r="W6" s="7">
        <f t="shared" si="7"/>
        <v>73.518701612903229</v>
      </c>
    </row>
    <row r="7" spans="1:23" ht="16" x14ac:dyDescent="0.2">
      <c r="A7" s="3" t="s">
        <v>71</v>
      </c>
      <c r="B7" s="9">
        <v>30</v>
      </c>
      <c r="C7" s="6">
        <v>0</v>
      </c>
      <c r="D7" s="9">
        <f t="shared" si="0"/>
        <v>30</v>
      </c>
      <c r="E7" s="5">
        <v>1.02</v>
      </c>
      <c r="F7" s="5">
        <v>1.05</v>
      </c>
      <c r="G7" s="8">
        <f>MIN(Hypotheses!$B$5*E7,0.95)</f>
        <v>0.71399999999999997</v>
      </c>
      <c r="H7" s="7">
        <f>Hypotheses!$B$4*F7</f>
        <v>152.25</v>
      </c>
      <c r="I7" s="7">
        <f t="shared" si="1"/>
        <v>21.419999999999998</v>
      </c>
      <c r="J7" s="9">
        <f>IF(Hypotheses!$B$6=0,0,ROUNDUP(I7/Hypotheses!$B$6,0))</f>
        <v>8</v>
      </c>
      <c r="K7" s="7">
        <f t="shared" si="2"/>
        <v>3261.1949999999997</v>
      </c>
      <c r="L7" s="7">
        <f>J7*Hypotheses!$B$7</f>
        <v>400</v>
      </c>
      <c r="M7" s="7">
        <f t="shared" si="3"/>
        <v>3661.1949999999997</v>
      </c>
      <c r="N7" s="7">
        <f>M7*Hypotheses!$B$8</f>
        <v>109.83584999999999</v>
      </c>
      <c r="O7" s="7">
        <f>J7*Hypotheses!$B$9</f>
        <v>360</v>
      </c>
      <c r="P7" s="7">
        <f>I7*Hypotheses!$B$10</f>
        <v>171.35999999999999</v>
      </c>
      <c r="Q7" s="7">
        <f>Hypotheses!$B$11</f>
        <v>60</v>
      </c>
      <c r="R7" s="7">
        <f>Hypotheses!$B$12+Hypotheses!$B$14</f>
        <v>420</v>
      </c>
      <c r="S7" s="7">
        <f t="shared" si="4"/>
        <v>2539.9991499999996</v>
      </c>
      <c r="T7" s="7">
        <f>Hypotheses!$B$13</f>
        <v>1730</v>
      </c>
      <c r="U7" s="7">
        <f t="shared" si="5"/>
        <v>809.99914999999964</v>
      </c>
      <c r="V7" s="7">
        <f t="shared" si="6"/>
        <v>108.70649999999999</v>
      </c>
      <c r="W7" s="7">
        <f t="shared" si="7"/>
        <v>84.666638333333324</v>
      </c>
    </row>
    <row r="8" spans="1:23" ht="16" x14ac:dyDescent="0.2">
      <c r="A8" s="3" t="s">
        <v>72</v>
      </c>
      <c r="B8" s="9">
        <v>31</v>
      </c>
      <c r="C8" s="6">
        <v>0</v>
      </c>
      <c r="D8" s="9">
        <f t="shared" si="0"/>
        <v>31</v>
      </c>
      <c r="E8" s="5">
        <v>1.08</v>
      </c>
      <c r="F8" s="5">
        <v>1.08</v>
      </c>
      <c r="G8" s="8">
        <f>MIN(Hypotheses!$B$5*E8,0.95)</f>
        <v>0.75600000000000001</v>
      </c>
      <c r="H8" s="7">
        <f>Hypotheses!$B$4*F8</f>
        <v>156.60000000000002</v>
      </c>
      <c r="I8" s="7">
        <f t="shared" si="1"/>
        <v>23.436</v>
      </c>
      <c r="J8" s="9">
        <f>IF(Hypotheses!$B$6=0,0,ROUNDUP(I8/Hypotheses!$B$6,0))</f>
        <v>8</v>
      </c>
      <c r="K8" s="7">
        <f t="shared" si="2"/>
        <v>3670.0776000000005</v>
      </c>
      <c r="L8" s="7">
        <f>J8*Hypotheses!$B$7</f>
        <v>400</v>
      </c>
      <c r="M8" s="7">
        <f t="shared" si="3"/>
        <v>4070.0776000000005</v>
      </c>
      <c r="N8" s="7">
        <f>M8*Hypotheses!$B$8</f>
        <v>122.10232800000001</v>
      </c>
      <c r="O8" s="7">
        <f>J8*Hypotheses!$B$9</f>
        <v>360</v>
      </c>
      <c r="P8" s="7">
        <f>I8*Hypotheses!$B$10</f>
        <v>187.488</v>
      </c>
      <c r="Q8" s="7">
        <f>Hypotheses!$B$11</f>
        <v>60</v>
      </c>
      <c r="R8" s="7">
        <f>Hypotheses!$B$12+Hypotheses!$B$14</f>
        <v>420</v>
      </c>
      <c r="S8" s="7">
        <f t="shared" si="4"/>
        <v>2920.4872720000008</v>
      </c>
      <c r="T8" s="7">
        <f>Hypotheses!$B$13</f>
        <v>1730</v>
      </c>
      <c r="U8" s="7">
        <f t="shared" si="5"/>
        <v>1190.4872720000008</v>
      </c>
      <c r="V8" s="7">
        <f t="shared" si="6"/>
        <v>118.38960000000002</v>
      </c>
      <c r="W8" s="7">
        <f t="shared" si="7"/>
        <v>94.209266838709695</v>
      </c>
    </row>
    <row r="9" spans="1:23" ht="16" x14ac:dyDescent="0.2">
      <c r="A9" s="3" t="s">
        <v>73</v>
      </c>
      <c r="B9" s="9">
        <v>30</v>
      </c>
      <c r="C9" s="6">
        <v>0</v>
      </c>
      <c r="D9" s="9">
        <f t="shared" si="0"/>
        <v>30</v>
      </c>
      <c r="E9" s="5">
        <v>1.1000000000000001</v>
      </c>
      <c r="F9" s="5">
        <v>1.1000000000000001</v>
      </c>
      <c r="G9" s="8">
        <f>MIN(Hypotheses!$B$5*E9,0.95)</f>
        <v>0.77</v>
      </c>
      <c r="H9" s="7">
        <f>Hypotheses!$B$4*F9</f>
        <v>159.5</v>
      </c>
      <c r="I9" s="7">
        <f t="shared" si="1"/>
        <v>23.1</v>
      </c>
      <c r="J9" s="9">
        <f>IF(Hypotheses!$B$6=0,0,ROUNDUP(I9/Hypotheses!$B$6,0))</f>
        <v>8</v>
      </c>
      <c r="K9" s="7">
        <f t="shared" si="2"/>
        <v>3684.4500000000003</v>
      </c>
      <c r="L9" s="7">
        <f>J9*Hypotheses!$B$7</f>
        <v>400</v>
      </c>
      <c r="M9" s="7">
        <f t="shared" si="3"/>
        <v>4084.4500000000003</v>
      </c>
      <c r="N9" s="7">
        <f>M9*Hypotheses!$B$8</f>
        <v>122.5335</v>
      </c>
      <c r="O9" s="7">
        <f>J9*Hypotheses!$B$9</f>
        <v>360</v>
      </c>
      <c r="P9" s="7">
        <f>I9*Hypotheses!$B$10</f>
        <v>184.8</v>
      </c>
      <c r="Q9" s="7">
        <f>Hypotheses!$B$11</f>
        <v>60</v>
      </c>
      <c r="R9" s="7">
        <f>Hypotheses!$B$12+Hypotheses!$B$14</f>
        <v>420</v>
      </c>
      <c r="S9" s="7">
        <f t="shared" si="4"/>
        <v>2937.1165000000001</v>
      </c>
      <c r="T9" s="7">
        <f>Hypotheses!$B$13</f>
        <v>1730</v>
      </c>
      <c r="U9" s="7">
        <f t="shared" si="5"/>
        <v>1207.1165000000001</v>
      </c>
      <c r="V9" s="7">
        <f t="shared" si="6"/>
        <v>122.81500000000001</v>
      </c>
      <c r="W9" s="7">
        <f t="shared" si="7"/>
        <v>97.90388333333334</v>
      </c>
    </row>
    <row r="10" spans="1:23" ht="16" x14ac:dyDescent="0.2">
      <c r="A10" s="3" t="s">
        <v>74</v>
      </c>
      <c r="B10" s="9">
        <v>31</v>
      </c>
      <c r="C10" s="6">
        <v>0</v>
      </c>
      <c r="D10" s="9">
        <f t="shared" si="0"/>
        <v>31</v>
      </c>
      <c r="E10" s="5">
        <v>1.1200000000000001</v>
      </c>
      <c r="F10" s="5">
        <v>1.1499999999999999</v>
      </c>
      <c r="G10" s="8">
        <f>MIN(Hypotheses!$B$5*E10,0.95)</f>
        <v>0.78400000000000003</v>
      </c>
      <c r="H10" s="7">
        <f>Hypotheses!$B$4*F10</f>
        <v>166.75</v>
      </c>
      <c r="I10" s="7">
        <f t="shared" si="1"/>
        <v>24.304000000000002</v>
      </c>
      <c r="J10" s="9">
        <f>IF(Hypotheses!$B$6=0,0,ROUNDUP(I10/Hypotheses!$B$6,0))</f>
        <v>9</v>
      </c>
      <c r="K10" s="7">
        <f t="shared" si="2"/>
        <v>4052.6920000000005</v>
      </c>
      <c r="L10" s="7">
        <f>J10*Hypotheses!$B$7</f>
        <v>450</v>
      </c>
      <c r="M10" s="7">
        <f t="shared" si="3"/>
        <v>4502.6920000000009</v>
      </c>
      <c r="N10" s="7">
        <f>M10*Hypotheses!$B$8</f>
        <v>135.08076000000003</v>
      </c>
      <c r="O10" s="7">
        <f>J10*Hypotheses!$B$9</f>
        <v>405</v>
      </c>
      <c r="P10" s="7">
        <f>I10*Hypotheses!$B$10</f>
        <v>194.43200000000002</v>
      </c>
      <c r="Q10" s="7">
        <f>Hypotheses!$B$11</f>
        <v>60</v>
      </c>
      <c r="R10" s="7">
        <f>Hypotheses!$B$12+Hypotheses!$B$14</f>
        <v>420</v>
      </c>
      <c r="S10" s="7">
        <f t="shared" si="4"/>
        <v>3288.1792400000013</v>
      </c>
      <c r="T10" s="7">
        <f>Hypotheses!$B$13</f>
        <v>1730</v>
      </c>
      <c r="U10" s="7">
        <f t="shared" si="5"/>
        <v>1558.1792400000013</v>
      </c>
      <c r="V10" s="7">
        <f t="shared" si="6"/>
        <v>130.73200000000003</v>
      </c>
      <c r="W10" s="7">
        <f t="shared" si="7"/>
        <v>106.07029806451617</v>
      </c>
    </row>
    <row r="11" spans="1:23" ht="16" x14ac:dyDescent="0.2">
      <c r="A11" s="3" t="s">
        <v>75</v>
      </c>
      <c r="B11" s="9">
        <v>31</v>
      </c>
      <c r="C11" s="6">
        <v>0</v>
      </c>
      <c r="D11" s="9">
        <f t="shared" si="0"/>
        <v>31</v>
      </c>
      <c r="E11" s="5">
        <v>1.08</v>
      </c>
      <c r="F11" s="5">
        <v>1.18</v>
      </c>
      <c r="G11" s="8">
        <f>MIN(Hypotheses!$B$5*E11,0.95)</f>
        <v>0.75600000000000001</v>
      </c>
      <c r="H11" s="7">
        <f>Hypotheses!$B$4*F11</f>
        <v>171.1</v>
      </c>
      <c r="I11" s="7">
        <f t="shared" si="1"/>
        <v>23.436</v>
      </c>
      <c r="J11" s="9">
        <f>IF(Hypotheses!$B$6=0,0,ROUNDUP(I11/Hypotheses!$B$6,0))</f>
        <v>8</v>
      </c>
      <c r="K11" s="7">
        <f t="shared" si="2"/>
        <v>4009.8995999999997</v>
      </c>
      <c r="L11" s="7">
        <f>J11*Hypotheses!$B$7</f>
        <v>400</v>
      </c>
      <c r="M11" s="7">
        <f t="shared" si="3"/>
        <v>4409.8995999999997</v>
      </c>
      <c r="N11" s="7">
        <f>M11*Hypotheses!$B$8</f>
        <v>132.296988</v>
      </c>
      <c r="O11" s="7">
        <f>J11*Hypotheses!$B$9</f>
        <v>360</v>
      </c>
      <c r="P11" s="7">
        <f>I11*Hypotheses!$B$10</f>
        <v>187.488</v>
      </c>
      <c r="Q11" s="7">
        <f>Hypotheses!$B$11</f>
        <v>60</v>
      </c>
      <c r="R11" s="7">
        <f>Hypotheses!$B$12+Hypotheses!$B$14</f>
        <v>420</v>
      </c>
      <c r="S11" s="7">
        <f t="shared" si="4"/>
        <v>3250.1146119999999</v>
      </c>
      <c r="T11" s="7">
        <f>Hypotheses!$B$13</f>
        <v>1730</v>
      </c>
      <c r="U11" s="7">
        <f t="shared" si="5"/>
        <v>1520.1146119999999</v>
      </c>
      <c r="V11" s="7">
        <f t="shared" si="6"/>
        <v>129.35159999999999</v>
      </c>
      <c r="W11" s="7">
        <f t="shared" si="7"/>
        <v>104.84240683870968</v>
      </c>
    </row>
    <row r="12" spans="1:23" ht="16" x14ac:dyDescent="0.2">
      <c r="A12" s="3" t="s">
        <v>76</v>
      </c>
      <c r="B12" s="9">
        <v>30</v>
      </c>
      <c r="C12" s="6">
        <v>0</v>
      </c>
      <c r="D12" s="9">
        <f t="shared" si="0"/>
        <v>30</v>
      </c>
      <c r="E12" s="5">
        <v>1.02</v>
      </c>
      <c r="F12" s="5">
        <v>1.05</v>
      </c>
      <c r="G12" s="8">
        <f>MIN(Hypotheses!$B$5*E12,0.95)</f>
        <v>0.71399999999999997</v>
      </c>
      <c r="H12" s="7">
        <f>Hypotheses!$B$4*F12</f>
        <v>152.25</v>
      </c>
      <c r="I12" s="7">
        <f t="shared" si="1"/>
        <v>21.419999999999998</v>
      </c>
      <c r="J12" s="9">
        <f>IF(Hypotheses!$B$6=0,0,ROUNDUP(I12/Hypotheses!$B$6,0))</f>
        <v>8</v>
      </c>
      <c r="K12" s="7">
        <f t="shared" si="2"/>
        <v>3261.1949999999997</v>
      </c>
      <c r="L12" s="7">
        <f>J12*Hypotheses!$B$7</f>
        <v>400</v>
      </c>
      <c r="M12" s="7">
        <f t="shared" si="3"/>
        <v>3661.1949999999997</v>
      </c>
      <c r="N12" s="7">
        <f>M12*Hypotheses!$B$8</f>
        <v>109.83584999999999</v>
      </c>
      <c r="O12" s="7">
        <f>J12*Hypotheses!$B$9</f>
        <v>360</v>
      </c>
      <c r="P12" s="7">
        <f>I12*Hypotheses!$B$10</f>
        <v>171.35999999999999</v>
      </c>
      <c r="Q12" s="7">
        <f>Hypotheses!$B$11</f>
        <v>60</v>
      </c>
      <c r="R12" s="7">
        <f>Hypotheses!$B$12+Hypotheses!$B$14</f>
        <v>420</v>
      </c>
      <c r="S12" s="7">
        <f t="shared" si="4"/>
        <v>2539.9991499999996</v>
      </c>
      <c r="T12" s="7">
        <f>Hypotheses!$B$13</f>
        <v>1730</v>
      </c>
      <c r="U12" s="7">
        <f t="shared" si="5"/>
        <v>809.99914999999964</v>
      </c>
      <c r="V12" s="7">
        <f t="shared" si="6"/>
        <v>108.70649999999999</v>
      </c>
      <c r="W12" s="7">
        <f t="shared" si="7"/>
        <v>84.666638333333324</v>
      </c>
    </row>
    <row r="13" spans="1:23" ht="16" x14ac:dyDescent="0.2">
      <c r="A13" s="3" t="s">
        <v>77</v>
      </c>
      <c r="B13" s="9">
        <v>31</v>
      </c>
      <c r="C13" s="6">
        <v>0</v>
      </c>
      <c r="D13" s="9">
        <f t="shared" si="0"/>
        <v>31</v>
      </c>
      <c r="E13" s="5">
        <v>0.98</v>
      </c>
      <c r="F13" s="5">
        <v>1</v>
      </c>
      <c r="G13" s="8">
        <f>MIN(Hypotheses!$B$5*E13,0.95)</f>
        <v>0.68599999999999994</v>
      </c>
      <c r="H13" s="7">
        <f>Hypotheses!$B$4*F13</f>
        <v>145</v>
      </c>
      <c r="I13" s="7">
        <f t="shared" si="1"/>
        <v>21.265999999999998</v>
      </c>
      <c r="J13" s="9">
        <f>IF(Hypotheses!$B$6=0,0,ROUNDUP(I13/Hypotheses!$B$6,0))</f>
        <v>8</v>
      </c>
      <c r="K13" s="7">
        <f t="shared" si="2"/>
        <v>3083.5699999999997</v>
      </c>
      <c r="L13" s="7">
        <f>J13*Hypotheses!$B$7</f>
        <v>400</v>
      </c>
      <c r="M13" s="7">
        <f t="shared" si="3"/>
        <v>3483.5699999999997</v>
      </c>
      <c r="N13" s="7">
        <f>M13*Hypotheses!$B$8</f>
        <v>104.50709999999999</v>
      </c>
      <c r="O13" s="7">
        <f>J13*Hypotheses!$B$9</f>
        <v>360</v>
      </c>
      <c r="P13" s="7">
        <f>I13*Hypotheses!$B$10</f>
        <v>170.12799999999999</v>
      </c>
      <c r="Q13" s="7">
        <f>Hypotheses!$B$11</f>
        <v>60</v>
      </c>
      <c r="R13" s="7">
        <f>Hypotheses!$B$12+Hypotheses!$B$14</f>
        <v>420</v>
      </c>
      <c r="S13" s="7">
        <f t="shared" si="4"/>
        <v>2368.9348999999997</v>
      </c>
      <c r="T13" s="7">
        <f>Hypotheses!$B$13</f>
        <v>1730</v>
      </c>
      <c r="U13" s="7">
        <f t="shared" si="5"/>
        <v>638.93489999999974</v>
      </c>
      <c r="V13" s="7">
        <f t="shared" si="6"/>
        <v>99.469999999999985</v>
      </c>
      <c r="W13" s="7">
        <f t="shared" si="7"/>
        <v>76.417254838709667</v>
      </c>
    </row>
    <row r="14" spans="1:23" ht="16" x14ac:dyDescent="0.2">
      <c r="A14" s="3" t="s">
        <v>78</v>
      </c>
      <c r="B14" s="9">
        <v>30</v>
      </c>
      <c r="C14" s="6">
        <v>0</v>
      </c>
      <c r="D14" s="9">
        <f t="shared" si="0"/>
        <v>30</v>
      </c>
      <c r="E14" s="5">
        <v>0.9</v>
      </c>
      <c r="F14" s="5">
        <v>0.95</v>
      </c>
      <c r="G14" s="8">
        <f>MIN(Hypotheses!$B$5*E14,0.95)</f>
        <v>0.63</v>
      </c>
      <c r="H14" s="7">
        <f>Hypotheses!$B$4*F14</f>
        <v>137.75</v>
      </c>
      <c r="I14" s="7">
        <f t="shared" si="1"/>
        <v>18.899999999999999</v>
      </c>
      <c r="J14" s="9">
        <f>IF(Hypotheses!$B$6=0,0,ROUNDUP(I14/Hypotheses!$B$6,0))</f>
        <v>7</v>
      </c>
      <c r="K14" s="7">
        <f t="shared" si="2"/>
        <v>2603.4749999999999</v>
      </c>
      <c r="L14" s="7">
        <f>J14*Hypotheses!$B$7</f>
        <v>350</v>
      </c>
      <c r="M14" s="7">
        <f t="shared" si="3"/>
        <v>2953.4749999999999</v>
      </c>
      <c r="N14" s="7">
        <f>M14*Hypotheses!$B$8</f>
        <v>88.604249999999993</v>
      </c>
      <c r="O14" s="7">
        <f>J14*Hypotheses!$B$9</f>
        <v>315</v>
      </c>
      <c r="P14" s="7">
        <f>I14*Hypotheses!$B$10</f>
        <v>151.19999999999999</v>
      </c>
      <c r="Q14" s="7">
        <f>Hypotheses!$B$11</f>
        <v>60</v>
      </c>
      <c r="R14" s="7">
        <f>Hypotheses!$B$12+Hypotheses!$B$14</f>
        <v>420</v>
      </c>
      <c r="S14" s="7">
        <f t="shared" si="4"/>
        <v>1918.6707500000002</v>
      </c>
      <c r="T14" s="7">
        <f>Hypotheses!$B$13</f>
        <v>1730</v>
      </c>
      <c r="U14" s="7">
        <f t="shared" si="5"/>
        <v>188.67075000000023</v>
      </c>
      <c r="V14" s="7">
        <f t="shared" si="6"/>
        <v>86.782499999999999</v>
      </c>
      <c r="W14" s="7">
        <f t="shared" si="7"/>
        <v>63.955691666666674</v>
      </c>
    </row>
    <row r="15" spans="1:23" ht="16" x14ac:dyDescent="0.2">
      <c r="A15" s="3" t="s">
        <v>79</v>
      </c>
      <c r="B15" s="9">
        <v>31</v>
      </c>
      <c r="C15" s="6">
        <v>0</v>
      </c>
      <c r="D15" s="9">
        <f t="shared" si="0"/>
        <v>31</v>
      </c>
      <c r="E15" s="5">
        <v>0.95</v>
      </c>
      <c r="F15" s="5">
        <v>1.1000000000000001</v>
      </c>
      <c r="G15" s="8">
        <f>MIN(Hypotheses!$B$5*E15,0.95)</f>
        <v>0.66499999999999992</v>
      </c>
      <c r="H15" s="7">
        <f>Hypotheses!$B$4*F15</f>
        <v>159.5</v>
      </c>
      <c r="I15" s="7">
        <f t="shared" si="1"/>
        <v>20.614999999999998</v>
      </c>
      <c r="J15" s="9">
        <f>IF(Hypotheses!$B$6=0,0,ROUNDUP(I15/Hypotheses!$B$6,0))</f>
        <v>7</v>
      </c>
      <c r="K15" s="7">
        <f t="shared" si="2"/>
        <v>3288.0924999999997</v>
      </c>
      <c r="L15" s="7">
        <f>J15*Hypotheses!$B$7</f>
        <v>350</v>
      </c>
      <c r="M15" s="7">
        <f t="shared" si="3"/>
        <v>3638.0924999999997</v>
      </c>
      <c r="N15" s="7">
        <f>M15*Hypotheses!$B$8</f>
        <v>109.14277499999999</v>
      </c>
      <c r="O15" s="7">
        <f>J15*Hypotheses!$B$9</f>
        <v>315</v>
      </c>
      <c r="P15" s="7">
        <f>I15*Hypotheses!$B$10</f>
        <v>164.92</v>
      </c>
      <c r="Q15" s="7">
        <f>Hypotheses!$B$11</f>
        <v>60</v>
      </c>
      <c r="R15" s="7">
        <f>Hypotheses!$B$12+Hypotheses!$B$14</f>
        <v>420</v>
      </c>
      <c r="S15" s="7">
        <f t="shared" si="4"/>
        <v>2569.0297249999999</v>
      </c>
      <c r="T15" s="7">
        <f>Hypotheses!$B$13</f>
        <v>1730</v>
      </c>
      <c r="U15" s="7">
        <f t="shared" si="5"/>
        <v>839.02972499999987</v>
      </c>
      <c r="V15" s="7">
        <f t="shared" si="6"/>
        <v>106.0675</v>
      </c>
      <c r="W15" s="7">
        <f t="shared" si="7"/>
        <v>82.871926612903223</v>
      </c>
    </row>
    <row r="16" spans="1:23" ht="16" x14ac:dyDescent="0.2">
      <c r="A16" s="10" t="s">
        <v>80</v>
      </c>
      <c r="B16" s="11">
        <f>SUM(B4:B15)</f>
        <v>365</v>
      </c>
      <c r="C16" s="11">
        <f>SUM(C4:C15)</f>
        <v>0</v>
      </c>
      <c r="D16" s="11">
        <f>SUM(D4:D15)</f>
        <v>365</v>
      </c>
      <c r="E16" s="12">
        <f>AVERAGE(E4:E15)</f>
        <v>1.0041666666666667</v>
      </c>
      <c r="F16" s="12">
        <f>AVERAGE(F4:F15)</f>
        <v>1.0466666666666666</v>
      </c>
      <c r="G16" s="12">
        <f>IF(D16=0,0,I16/D16)</f>
        <v>0.70347123287671232</v>
      </c>
      <c r="H16" s="11">
        <f>IF(I16=0,0,K16/I16)</f>
        <v>152.56418445516749</v>
      </c>
      <c r="I16" s="11">
        <f t="shared" ref="I16:U16" si="8">SUM(I4:I15)</f>
        <v>256.767</v>
      </c>
      <c r="J16" s="11">
        <f t="shared" si="8"/>
        <v>91</v>
      </c>
      <c r="K16" s="11">
        <f t="shared" si="8"/>
        <v>39173.447949999994</v>
      </c>
      <c r="L16" s="11">
        <f t="shared" si="8"/>
        <v>4550</v>
      </c>
      <c r="M16" s="11">
        <f t="shared" si="8"/>
        <v>43723.447950000002</v>
      </c>
      <c r="N16" s="11">
        <f t="shared" si="8"/>
        <v>1311.7034385000002</v>
      </c>
      <c r="O16" s="11">
        <f t="shared" si="8"/>
        <v>4095</v>
      </c>
      <c r="P16" s="11">
        <f t="shared" si="8"/>
        <v>2054.136</v>
      </c>
      <c r="Q16" s="11">
        <f t="shared" si="8"/>
        <v>720</v>
      </c>
      <c r="R16" s="11">
        <f t="shared" si="8"/>
        <v>5040</v>
      </c>
      <c r="S16" s="11">
        <f t="shared" si="8"/>
        <v>30502.608511500006</v>
      </c>
      <c r="T16" s="11">
        <f t="shared" si="8"/>
        <v>20760</v>
      </c>
      <c r="U16" s="11">
        <f t="shared" si="8"/>
        <v>9742.6085115000024</v>
      </c>
      <c r="V16" s="11">
        <f t="shared" si="6"/>
        <v>107.32451493150684</v>
      </c>
      <c r="W16" s="11">
        <f t="shared" si="7"/>
        <v>83.568790442465769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1"/>
  <sheetViews>
    <sheetView workbookViewId="0">
      <pane ySplit="3" topLeftCell="A4" activePane="bottomLeft" state="frozen"/>
      <selection pane="bottomLeft"/>
    </sheetView>
  </sheetViews>
  <sheetFormatPr baseColWidth="10" defaultColWidth="8.83203125" defaultRowHeight="15" x14ac:dyDescent="0.2"/>
  <cols>
    <col min="1" max="1" width="58" customWidth="1"/>
    <col min="2" max="2" width="24" customWidth="1"/>
  </cols>
  <sheetData>
    <row r="1" spans="1:2" ht="19" x14ac:dyDescent="0.2">
      <c r="A1" s="1" t="s">
        <v>81</v>
      </c>
    </row>
    <row r="2" spans="1:2" x14ac:dyDescent="0.2">
      <c r="A2" t="s">
        <v>82</v>
      </c>
    </row>
    <row r="3" spans="1:2" ht="16" x14ac:dyDescent="0.2">
      <c r="A3" s="2" t="s">
        <v>83</v>
      </c>
      <c r="B3" s="2" t="s">
        <v>84</v>
      </c>
    </row>
    <row r="4" spans="1:2" ht="16" x14ac:dyDescent="0.2">
      <c r="A4" s="3" t="s">
        <v>85</v>
      </c>
      <c r="B4" s="7">
        <f>Modele!M16</f>
        <v>43723.447950000002</v>
      </c>
    </row>
    <row r="5" spans="1:2" ht="16" x14ac:dyDescent="0.2">
      <c r="A5" s="3" t="s">
        <v>86</v>
      </c>
      <c r="B5" s="7">
        <f>Modele!S16</f>
        <v>30502.608511500006</v>
      </c>
    </row>
    <row r="6" spans="1:2" ht="16" x14ac:dyDescent="0.2">
      <c r="A6" s="3" t="s">
        <v>87</v>
      </c>
      <c r="B6" s="7">
        <f>Modele!U16</f>
        <v>9742.6085115000024</v>
      </c>
    </row>
    <row r="8" spans="1:2" ht="16" x14ac:dyDescent="0.2">
      <c r="A8" s="3" t="s">
        <v>88</v>
      </c>
      <c r="B8" s="5">
        <v>0.5</v>
      </c>
    </row>
    <row r="9" spans="1:2" ht="16" x14ac:dyDescent="0.2">
      <c r="A9" s="3" t="s">
        <v>89</v>
      </c>
      <c r="B9" s="5">
        <v>0.3</v>
      </c>
    </row>
    <row r="10" spans="1:2" ht="16" x14ac:dyDescent="0.2">
      <c r="A10" s="3" t="s">
        <v>90</v>
      </c>
      <c r="B10" s="4">
        <v>0</v>
      </c>
    </row>
    <row r="12" spans="1:2" ht="32" x14ac:dyDescent="0.2">
      <c r="A12" s="2" t="s">
        <v>91</v>
      </c>
      <c r="B12" s="2" t="s">
        <v>92</v>
      </c>
    </row>
    <row r="13" spans="1:2" ht="16" x14ac:dyDescent="0.2">
      <c r="A13" s="3" t="s">
        <v>93</v>
      </c>
      <c r="B13" s="7">
        <f>MAX(B4*(1-B8),0)</f>
        <v>21861.723975000001</v>
      </c>
    </row>
    <row r="14" spans="1:2" ht="16" x14ac:dyDescent="0.2">
      <c r="A14" s="3" t="s">
        <v>94</v>
      </c>
      <c r="B14" s="7">
        <f>B13*B9</f>
        <v>6558.5171925000004</v>
      </c>
    </row>
    <row r="15" spans="1:2" ht="16" x14ac:dyDescent="0.2">
      <c r="A15" s="3" t="s">
        <v>95</v>
      </c>
      <c r="B15" s="7">
        <f>B6-B14</f>
        <v>3184.0913190000019</v>
      </c>
    </row>
    <row r="17" spans="1:2" ht="16" x14ac:dyDescent="0.2">
      <c r="A17" s="3" t="s">
        <v>96</v>
      </c>
      <c r="B17" s="7">
        <f>MAX(B5-B10,0)</f>
        <v>30502.608511500006</v>
      </c>
    </row>
    <row r="18" spans="1:2" ht="16" x14ac:dyDescent="0.2">
      <c r="A18" s="3" t="s">
        <v>97</v>
      </c>
      <c r="B18" s="7">
        <f>B17*B9</f>
        <v>9150.7825534500007</v>
      </c>
    </row>
    <row r="19" spans="1:2" ht="16" x14ac:dyDescent="0.2">
      <c r="A19" s="3" t="s">
        <v>98</v>
      </c>
      <c r="B19" s="7">
        <f>B6-B18</f>
        <v>591.82595805000165</v>
      </c>
    </row>
    <row r="21" spans="1:2" ht="64" x14ac:dyDescent="0.2">
      <c r="A21" s="2" t="s">
        <v>99</v>
      </c>
      <c r="B21" s="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2"/>
  <sheetViews>
    <sheetView workbookViewId="0">
      <pane ySplit="19" topLeftCell="A20" activePane="bottomLeft" state="frozen"/>
      <selection pane="bottomLeft"/>
    </sheetView>
  </sheetViews>
  <sheetFormatPr baseColWidth="10" defaultColWidth="8.83203125" defaultRowHeight="15" x14ac:dyDescent="0.2"/>
  <cols>
    <col min="1" max="1" width="36" customWidth="1"/>
    <col min="2" max="3" width="16" customWidth="1"/>
    <col min="4" max="6" width="18" customWidth="1"/>
    <col min="7" max="7" width="14" customWidth="1"/>
    <col min="8" max="8" width="16" customWidth="1"/>
    <col min="9" max="9" width="18" customWidth="1"/>
    <col min="10" max="10" width="16" customWidth="1"/>
    <col min="11" max="11" width="18" customWidth="1"/>
    <col min="12" max="12" width="16" customWidth="1"/>
  </cols>
  <sheetData>
    <row r="1" spans="1:2" ht="19" x14ac:dyDescent="0.2">
      <c r="A1" s="1" t="s">
        <v>101</v>
      </c>
    </row>
    <row r="2" spans="1:2" x14ac:dyDescent="0.2">
      <c r="A2" t="s">
        <v>102</v>
      </c>
    </row>
    <row r="3" spans="1:2" ht="16" x14ac:dyDescent="0.2">
      <c r="A3" s="2" t="s">
        <v>103</v>
      </c>
      <c r="B3" s="2" t="s">
        <v>84</v>
      </c>
    </row>
    <row r="4" spans="1:2" ht="16" x14ac:dyDescent="0.2">
      <c r="A4" s="3" t="s">
        <v>104</v>
      </c>
      <c r="B4" s="7">
        <f>Modele!M16</f>
        <v>43723.447950000002</v>
      </c>
    </row>
    <row r="5" spans="1:2" ht="16" x14ac:dyDescent="0.2">
      <c r="A5" s="3" t="s">
        <v>105</v>
      </c>
      <c r="B5" s="7">
        <f>Modele!S16</f>
        <v>30502.608511500006</v>
      </c>
    </row>
    <row r="6" spans="1:2" ht="16" x14ac:dyDescent="0.2">
      <c r="A6" s="3" t="s">
        <v>106</v>
      </c>
      <c r="B6" s="7">
        <f>Modele!U16</f>
        <v>9742.6085115000024</v>
      </c>
    </row>
    <row r="7" spans="1:2" ht="16" x14ac:dyDescent="0.2">
      <c r="A7" s="3" t="s">
        <v>107</v>
      </c>
      <c r="B7" s="7">
        <f>B6/12</f>
        <v>811.88404262500023</v>
      </c>
    </row>
    <row r="8" spans="1:2" ht="16" x14ac:dyDescent="0.2">
      <c r="A8" s="3" t="s">
        <v>108</v>
      </c>
      <c r="B8" s="8">
        <f>Modele!G16</f>
        <v>0.70347123287671232</v>
      </c>
    </row>
    <row r="9" spans="1:2" ht="16" x14ac:dyDescent="0.2">
      <c r="A9" s="3" t="s">
        <v>109</v>
      </c>
      <c r="B9" s="7">
        <f>Modele!H16</f>
        <v>152.56418445516749</v>
      </c>
    </row>
    <row r="10" spans="1:2" ht="16" x14ac:dyDescent="0.2">
      <c r="A10" s="3" t="s">
        <v>110</v>
      </c>
      <c r="B10" s="7">
        <f>Modele!V16</f>
        <v>107.32451493150684</v>
      </c>
    </row>
    <row r="11" spans="1:2" ht="16" x14ac:dyDescent="0.2">
      <c r="A11" s="3" t="s">
        <v>111</v>
      </c>
      <c r="B11" s="7">
        <f>Modele!W16</f>
        <v>83.568790442465769</v>
      </c>
    </row>
    <row r="12" spans="1:2" ht="16" x14ac:dyDescent="0.2">
      <c r="A12" s="3" t="s">
        <v>112</v>
      </c>
      <c r="B12" s="8">
        <f>Hypotheses!B24</f>
        <v>0.54296326501364067</v>
      </c>
    </row>
    <row r="13" spans="1:2" ht="16" x14ac:dyDescent="0.2">
      <c r="A13" s="3" t="s">
        <v>113</v>
      </c>
      <c r="B13" s="8">
        <f>IF(Hypotheses!B25=0,0,B5/Hypotheses!B25)</f>
        <v>7.7713652258598748E-2</v>
      </c>
    </row>
    <row r="14" spans="1:2" ht="16" x14ac:dyDescent="0.2">
      <c r="A14" s="3" t="s">
        <v>114</v>
      </c>
      <c r="B14" s="8">
        <f>IF(Hypotheses!B20=0,0,B6/Hypotheses!B20)</f>
        <v>0.12178260639375003</v>
      </c>
    </row>
    <row r="15" spans="1:2" ht="16" x14ac:dyDescent="0.2">
      <c r="A15" s="3" t="s">
        <v>95</v>
      </c>
      <c r="B15" s="7">
        <f>Fiscalite!B15</f>
        <v>3184.0913190000019</v>
      </c>
    </row>
    <row r="16" spans="1:2" ht="16" x14ac:dyDescent="0.2">
      <c r="A16" s="3" t="s">
        <v>98</v>
      </c>
      <c r="B16" s="7">
        <f>Fiscalite!B19</f>
        <v>591.82595805000165</v>
      </c>
    </row>
    <row r="18" spans="1:12" ht="64" x14ac:dyDescent="0.2">
      <c r="A18" s="2" t="s">
        <v>115</v>
      </c>
      <c r="B18" s="2" t="s">
        <v>116</v>
      </c>
    </row>
    <row r="19" spans="1:12" ht="32" x14ac:dyDescent="0.2">
      <c r="A19" s="2" t="s">
        <v>117</v>
      </c>
      <c r="B19" s="2" t="s">
        <v>50</v>
      </c>
      <c r="C19" s="2" t="s">
        <v>51</v>
      </c>
      <c r="D19" s="2" t="s">
        <v>118</v>
      </c>
      <c r="E19" s="2" t="s">
        <v>119</v>
      </c>
      <c r="F19" s="2" t="s">
        <v>120</v>
      </c>
      <c r="G19" s="2" t="s">
        <v>54</v>
      </c>
      <c r="H19" s="2" t="s">
        <v>104</v>
      </c>
      <c r="I19" s="2" t="s">
        <v>105</v>
      </c>
      <c r="J19" s="2" t="s">
        <v>106</v>
      </c>
      <c r="K19" s="2" t="s">
        <v>121</v>
      </c>
      <c r="L19" s="2" t="s">
        <v>112</v>
      </c>
    </row>
    <row r="20" spans="1:12" ht="16" x14ac:dyDescent="0.2">
      <c r="A20" s="3" t="s">
        <v>122</v>
      </c>
      <c r="B20" s="5">
        <v>0.9</v>
      </c>
      <c r="C20" s="5">
        <v>0.95</v>
      </c>
      <c r="D20" s="5">
        <v>0.9</v>
      </c>
      <c r="E20" s="5">
        <v>1.1000000000000001</v>
      </c>
      <c r="F20" s="5">
        <v>1.1000000000000001</v>
      </c>
      <c r="G20" s="7">
        <f>Modele!$D$16*MIN(Hypotheses!$B$5*B20,0.95)</f>
        <v>229.95</v>
      </c>
      <c r="H20" s="7">
        <f>(G20*(Hypotheses!$B$4*C20))+(IF(Hypotheses!$B$6*D20=0,0,ROUNDUP(G20/(Hypotheses!$B$6*D20),0))*Hypotheses!$B$7)</f>
        <v>35975.612500000003</v>
      </c>
      <c r="I20" s="7">
        <f>H20-(H20*Hypotheses!$B$8)-(IF(Hypotheses!$B$6*D20=0,0,ROUNDUP(G20/(Hypotheses!$B$6*D20),0))*Hypotheses!$B$9*E20)-(G20*Hypotheses!$B$10*F20)-(Hypotheses!$B$11*12)-((Hypotheses!$B$12+Hypotheses!$B$14)*12)</f>
        <v>22855.784125000002</v>
      </c>
      <c r="J20" s="7">
        <f>I20-(Hypotheses!$B$13*12)</f>
        <v>2095.7841250000019</v>
      </c>
      <c r="K20" s="7">
        <f>IF(Hypotheses!$B$6*D20=0,"",(((Hypotheses!$B$4*C20)+(Hypotheses!$B$7/(Hypotheses!$B$6*D20)))*(1-Hypotheses!$B$8))-(((Hypotheses!$B$9*E20)/(Hypotheses!$B$6*D20))+(Hypotheses!$B$10*F20)))</f>
        <v>124.44712962962963</v>
      </c>
      <c r="L20" s="8">
        <f>IF(OR(Modele!$D$16=0,K20="",K20&lt;=0),"",MIN(0.99,((Hypotheses!$B$11+Hypotheses!$B$12+Hypotheses!$B$13+Hypotheses!$B$14)*12)/(Modele!$D$16*K20)))</f>
        <v>0.5838425881160404</v>
      </c>
    </row>
    <row r="21" spans="1:12" ht="16" x14ac:dyDescent="0.2">
      <c r="A21" s="3" t="s">
        <v>123</v>
      </c>
      <c r="B21" s="5">
        <v>1</v>
      </c>
      <c r="C21" s="5">
        <v>1</v>
      </c>
      <c r="D21" s="5">
        <v>1</v>
      </c>
      <c r="E21" s="5">
        <v>1</v>
      </c>
      <c r="F21" s="5">
        <v>1</v>
      </c>
      <c r="G21" s="7">
        <f>Modele!$D$16*MIN(Hypotheses!$B$5*B21,0.95)</f>
        <v>255.49999999999997</v>
      </c>
      <c r="H21" s="7">
        <f>(G21*(Hypotheses!$B$4*C21))+(IF(Hypotheses!$B$6*D21=0,0,ROUNDUP(G21/(Hypotheses!$B$6*D21),0))*Hypotheses!$B$7)</f>
        <v>41347.499999999993</v>
      </c>
      <c r="I21" s="7">
        <f>H21-(H21*Hypotheses!$B$8)-(IF(Hypotheses!$B$6*D21=0,0,ROUNDUP(G21/(Hypotheses!$B$6*D21),0))*Hypotheses!$B$9*E21)-(G21*Hypotheses!$B$10*F21)-(Hypotheses!$B$11*12)-((Hypotheses!$B$12+Hypotheses!$B$14)*12)</f>
        <v>28433.07499999999</v>
      </c>
      <c r="J21" s="7">
        <f>I21-(Hypotheses!$B$13*12)</f>
        <v>7673.0749999999898</v>
      </c>
      <c r="K21" s="7">
        <f>IF(Hypotheses!$B$6*D21=0,"",(((Hypotheses!$B$4*C21)+(Hypotheses!$B$7/(Hypotheses!$B$6*D21)))*(1-Hypotheses!$B$8))-(((Hypotheses!$B$9*E21)/(Hypotheses!$B$6*D21))+(Hypotheses!$B$10*F21)))</f>
        <v>133.81666666666666</v>
      </c>
      <c r="L21" s="8">
        <f>IF(OR(Modele!$D$16=0,K21="",K21&lt;=0),"",MIN(0.99,((Hypotheses!$B$11+Hypotheses!$B$12+Hypotheses!$B$13+Hypotheses!$B$14)*12)/(Modele!$D$16*K21)))</f>
        <v>0.54296326501364067</v>
      </c>
    </row>
    <row r="22" spans="1:12" ht="16" x14ac:dyDescent="0.2">
      <c r="A22" s="3" t="s">
        <v>124</v>
      </c>
      <c r="B22" s="5">
        <v>1.08</v>
      </c>
      <c r="C22" s="5">
        <v>1.05</v>
      </c>
      <c r="D22" s="5">
        <v>1.1000000000000001</v>
      </c>
      <c r="E22" s="5">
        <v>0.95</v>
      </c>
      <c r="F22" s="5">
        <v>0.95</v>
      </c>
      <c r="G22" s="7">
        <f>Modele!$D$16*MIN(Hypotheses!$B$5*B22,0.95)</f>
        <v>275.94</v>
      </c>
      <c r="H22" s="7">
        <f>(G22*(Hypotheses!$B$4*C22))+(IF(Hypotheses!$B$6*D22=0,0,ROUNDUP(G22/(Hypotheses!$B$6*D22),0))*Hypotheses!$B$7)</f>
        <v>46211.864999999998</v>
      </c>
      <c r="I22" s="7">
        <f>H22-(H22*Hypotheses!$B$8)-(IF(Hypotheses!$B$6*D22=0,0,ROUNDUP(G22/(Hypotheses!$B$6*D22),0))*Hypotheses!$B$9*E22)-(G22*Hypotheses!$B$10*F22)-(Hypotheses!$B$11*12)-((Hypotheses!$B$12+Hypotheses!$B$14)*12)</f>
        <v>33377.36505</v>
      </c>
      <c r="J22" s="7">
        <f>I22-(Hypotheses!$B$13*12)</f>
        <v>12617.36505</v>
      </c>
      <c r="K22" s="7">
        <f>IF(Hypotheses!$B$6*D22=0,"",(((Hypotheses!$B$4*C22)+(Hypotheses!$B$7/(Hypotheses!$B$6*D22)))*(1-Hypotheses!$B$8))-(((Hypotheses!$B$9*E22)/(Hypotheses!$B$6*D22))+(Hypotheses!$B$10*F22)))</f>
        <v>141.82492424242423</v>
      </c>
      <c r="L22" s="8">
        <f>IF(OR(Modele!$D$16=0,K22="",K22&lt;=0),"",MIN(0.99,((Hypotheses!$B$11+Hypotheses!$B$12+Hypotheses!$B$13+Hypotheses!$B$14)*12)/(Modele!$D$16*K22)))</f>
        <v>0.51230441077042521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README</vt:lpstr>
      <vt:lpstr>Hypotheses</vt:lpstr>
      <vt:lpstr>Modele</vt:lpstr>
      <vt:lpstr>Fiscalite</vt:lpstr>
      <vt:lpstr>Synthese</vt:lpstr>
    </vt:vector>
  </TitlesOfParts>
  <Company>Leazly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Modele de calcul de rentabilite Airbnb</dc:title>
  <dc:subject>Excel et Google Sheets</dc:subject>
  <dc:creator>Cursor</dc:creator>
  <dc:description>Modele de calcul de rentabilite Airbnb avec hypotheses, simulation mensuelle, fiscalite simplifiee et synthese.</dc:description>
  <cp:lastModifiedBy>Victor VANDENBERGHE</cp:lastModifiedBy>
  <dcterms:created xsi:type="dcterms:W3CDTF">2026-03-13T08:33:26Z</dcterms:created>
  <dcterms:modified xsi:type="dcterms:W3CDTF">2026-03-13T09:32:11Z</dcterms:modified>
</cp:coreProperties>
</file>